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05" windowWidth="15000" windowHeight="9645"/>
  </bookViews>
  <sheets>
    <sheet name="Equipamentos" sheetId="1" r:id="rId1"/>
    <sheet name="Produção" sheetId="2" r:id="rId2"/>
    <sheet name="Investimento " sheetId="3" r:id="rId3"/>
    <sheet name="Viabilidade" sheetId="4" r:id="rId4"/>
  </sheets>
  <calcPr calcId="145621"/>
</workbook>
</file>

<file path=xl/calcChain.xml><?xml version="1.0" encoding="utf-8"?>
<calcChain xmlns="http://schemas.openxmlformats.org/spreadsheetml/2006/main">
  <c r="V5" i="4" l="1"/>
  <c r="V4" i="4"/>
  <c r="V3" i="4"/>
  <c r="Q5" i="4"/>
  <c r="Q4" i="4"/>
  <c r="Q3" i="4"/>
  <c r="L5" i="4"/>
  <c r="L4" i="4"/>
  <c r="L3" i="4"/>
  <c r="G5" i="4"/>
  <c r="G4" i="4"/>
  <c r="G3" i="4"/>
  <c r="Z13" i="4"/>
  <c r="U13" i="4"/>
  <c r="S13" i="4"/>
  <c r="R13" i="4"/>
  <c r="M13" i="4"/>
  <c r="K13" i="4"/>
  <c r="J13" i="4"/>
  <c r="E13" i="4"/>
  <c r="AA12" i="4"/>
  <c r="C12" i="4"/>
  <c r="AA10" i="4"/>
  <c r="Z9" i="4"/>
  <c r="Y9" i="4"/>
  <c r="Y13" i="4" s="1"/>
  <c r="X9" i="4"/>
  <c r="X13" i="4" s="1"/>
  <c r="W9" i="4"/>
  <c r="W13" i="4" s="1"/>
  <c r="U9" i="4"/>
  <c r="T9" i="4"/>
  <c r="T13" i="4" s="1"/>
  <c r="S9" i="4"/>
  <c r="R9" i="4"/>
  <c r="P9" i="4"/>
  <c r="P13" i="4" s="1"/>
  <c r="O9" i="4"/>
  <c r="O13" i="4" s="1"/>
  <c r="N9" i="4"/>
  <c r="N13" i="4" s="1"/>
  <c r="M9" i="4"/>
  <c r="K9" i="4"/>
  <c r="J9" i="4"/>
  <c r="I9" i="4"/>
  <c r="I13" i="4" s="1"/>
  <c r="H9" i="4"/>
  <c r="H13" i="4" s="1"/>
  <c r="F9" i="4"/>
  <c r="F13" i="4" s="1"/>
  <c r="E9" i="4"/>
  <c r="D9" i="4"/>
  <c r="D13" i="4" s="1"/>
  <c r="AA8" i="4"/>
  <c r="C7" i="4"/>
  <c r="AA7" i="4" s="1"/>
  <c r="E2" i="4"/>
  <c r="F2" i="4" s="1"/>
  <c r="G2" i="4" s="1"/>
  <c r="H2" i="4" s="1"/>
  <c r="I2" i="4" s="1"/>
  <c r="J2" i="4" s="1"/>
  <c r="K2" i="4" s="1"/>
  <c r="L2" i="4" s="1"/>
  <c r="M2" i="4" s="1"/>
  <c r="N2" i="4" s="1"/>
  <c r="O2" i="4" s="1"/>
  <c r="P2" i="4" s="1"/>
  <c r="Q2" i="4" s="1"/>
  <c r="R2" i="4" s="1"/>
  <c r="S2" i="4" s="1"/>
  <c r="T2" i="4" s="1"/>
  <c r="U2" i="4" s="1"/>
  <c r="V2" i="4" s="1"/>
  <c r="W2" i="4" s="1"/>
  <c r="X2" i="4" s="1"/>
  <c r="Y2" i="4" s="1"/>
  <c r="Z2" i="4" s="1"/>
  <c r="D2" i="4"/>
  <c r="B5" i="3"/>
  <c r="B19" i="2"/>
  <c r="B17" i="2"/>
  <c r="B18" i="2" s="1"/>
  <c r="B22" i="2" s="1"/>
  <c r="B13" i="2"/>
  <c r="C35" i="1"/>
  <c r="D35" i="1" s="1"/>
  <c r="B35" i="1"/>
  <c r="C5" i="4" s="1"/>
  <c r="D34" i="1"/>
  <c r="D33" i="1"/>
  <c r="D32" i="1"/>
  <c r="D31" i="1"/>
  <c r="D30" i="1"/>
  <c r="D29" i="1"/>
  <c r="C27" i="1"/>
  <c r="D27" i="1" s="1"/>
  <c r="C4" i="4" s="1"/>
  <c r="B27" i="1"/>
  <c r="D26" i="1"/>
  <c r="D25" i="1"/>
  <c r="D24" i="1"/>
  <c r="D23" i="1"/>
  <c r="C21" i="1"/>
  <c r="D21" i="1" s="1"/>
  <c r="B21" i="1"/>
  <c r="C3" i="4" s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V9" i="4" l="1"/>
  <c r="V13" i="4" s="1"/>
  <c r="G9" i="4"/>
  <c r="G13" i="4" s="1"/>
  <c r="L9" i="4"/>
  <c r="L13" i="4" s="1"/>
  <c r="Q9" i="4"/>
  <c r="Q13" i="4" s="1"/>
  <c r="C9" i="4"/>
  <c r="AA3" i="4"/>
  <c r="J15" i="4" s="1"/>
  <c r="B21" i="2"/>
  <c r="B26" i="2"/>
  <c r="AA9" i="4" l="1"/>
  <c r="C13" i="4"/>
  <c r="AA13" i="4" s="1"/>
  <c r="G14" i="4" a="1"/>
  <c r="G14" i="4" s="1"/>
  <c r="J14" i="4"/>
</calcChain>
</file>

<file path=xl/sharedStrings.xml><?xml version="1.0" encoding="utf-8"?>
<sst xmlns="http://schemas.openxmlformats.org/spreadsheetml/2006/main" count="94" uniqueCount="89">
  <si>
    <t xml:space="preserve">INVESTIMENTO </t>
  </si>
  <si>
    <t>CUSTOS DE PRODUÇÃO DO ACRILATO DE BUTILA</t>
  </si>
  <si>
    <t>Custos Fixos</t>
  </si>
  <si>
    <t xml:space="preserve">PRODUÇÃO </t>
  </si>
  <si>
    <t>Equipamentos</t>
  </si>
  <si>
    <t>Instalações (R$)</t>
  </si>
  <si>
    <t>Manutenções Programadas (R$/ano)</t>
  </si>
  <si>
    <t>Manutenções Programadas (R$/mês)</t>
  </si>
  <si>
    <t>Operação</t>
  </si>
  <si>
    <t>Manutenção</t>
  </si>
  <si>
    <t>Produção</t>
  </si>
  <si>
    <t>TOTAL</t>
  </si>
  <si>
    <t>1 - Bombas</t>
  </si>
  <si>
    <t>t/ano</t>
  </si>
  <si>
    <t>2 - Válvulas - Gerais</t>
  </si>
  <si>
    <t>3 - Reator de Esterificação</t>
  </si>
  <si>
    <t>4 - Desidratador</t>
  </si>
  <si>
    <t>5 - Tanque de água</t>
  </si>
  <si>
    <t xml:space="preserve">6 - Coluna de Retificação do álcool </t>
  </si>
  <si>
    <t>7 - Coluna de Neutralização</t>
  </si>
  <si>
    <t xml:space="preserve">8 - Coluna de Recuperação Catalitica </t>
  </si>
  <si>
    <t>9 - Coluna de purificação</t>
  </si>
  <si>
    <t>10 - Trocadores de calor</t>
  </si>
  <si>
    <t>11 - Tubulações</t>
  </si>
  <si>
    <t>12 - Caldeira</t>
  </si>
  <si>
    <t>Matérias-primas</t>
  </si>
  <si>
    <t>13 - Sistema de gás para instrumentos (Caso for utilizar)</t>
  </si>
  <si>
    <t>14 - Compressor (Caso utilize gás)</t>
  </si>
  <si>
    <t>15 - Sistema de alívio</t>
  </si>
  <si>
    <t>Ácido Acrílico</t>
  </si>
  <si>
    <t>16 - Tanque dos produtos pesados</t>
  </si>
  <si>
    <t>17 - Tanque do desejado</t>
  </si>
  <si>
    <t>Butanol</t>
  </si>
  <si>
    <t>Inibidor</t>
  </si>
  <si>
    <t>Nitrogênio</t>
  </si>
  <si>
    <t>Vapor consumido</t>
  </si>
  <si>
    <t>Custo Unitário</t>
  </si>
  <si>
    <t>Dispositivos de segurança</t>
  </si>
  <si>
    <t>−</t>
  </si>
  <si>
    <t xml:space="preserve">1 - Sistema de Detecção e Alarme </t>
  </si>
  <si>
    <t>2 - Sistema de extintores</t>
  </si>
  <si>
    <t xml:space="preserve">3 - Iluminação de Emergência </t>
  </si>
  <si>
    <t>Volume consumido</t>
  </si>
  <si>
    <t xml:space="preserve">4 -Sistema de Inundação </t>
  </si>
  <si>
    <t>Custo Total</t>
  </si>
  <si>
    <t>Automação</t>
  </si>
  <si>
    <t>Estoques Iniciais de Estoques de Prod. em Elaboração (Unidades) (t/a)</t>
  </si>
  <si>
    <t>Estoques Finais de Estoques de Prod. em Elaboração (Unidades)(t/a)</t>
  </si>
  <si>
    <t>1 - Computadores (Controlar)Controle de Processo</t>
  </si>
  <si>
    <t>Controle de Produção</t>
  </si>
  <si>
    <t>2- Controladores de Fluxo, pressão, nível, etc.</t>
  </si>
  <si>
    <t>Acrilato de Butila</t>
  </si>
  <si>
    <t>3 - Controles e monitoramento - Ciclos</t>
  </si>
  <si>
    <t>4 - Controle de insumos</t>
  </si>
  <si>
    <t>5 - Gerenciamento de Energia e Utilidades</t>
  </si>
  <si>
    <t>6 - Automação de Redes de Distribuição</t>
  </si>
  <si>
    <t>Produção Equivalente no mês (Unidades Consideradas Acabadas)</t>
  </si>
  <si>
    <t>Ano</t>
  </si>
  <si>
    <t>t</t>
  </si>
  <si>
    <t>CUSTOS</t>
  </si>
  <si>
    <t>R$</t>
  </si>
  <si>
    <t>Outros variáveis($)</t>
  </si>
  <si>
    <t>Mês</t>
  </si>
  <si>
    <t>Custos variáveis (R$)</t>
  </si>
  <si>
    <t>Custos fixos diretos (R$)</t>
  </si>
  <si>
    <t>total</t>
  </si>
  <si>
    <t>Unitário (R$/ t)</t>
  </si>
  <si>
    <t>Equipamentos - Instalação / Manutenção</t>
  </si>
  <si>
    <t>Unidades Paralisadas(R$/t)</t>
  </si>
  <si>
    <t>Custo de produção (R$)</t>
  </si>
  <si>
    <t>INVESTIMENTO</t>
  </si>
  <si>
    <t>Dispositivos de Segurança - Instalação / Manutenção</t>
  </si>
  <si>
    <t>Automação - Instalação / Manutenção</t>
  </si>
  <si>
    <t>Produção/L</t>
  </si>
  <si>
    <t>Produção Prevista = demanda/24 meses</t>
  </si>
  <si>
    <t>Custo de Produção</t>
  </si>
  <si>
    <t>Despesas Totais</t>
  </si>
  <si>
    <t>Vendas/L</t>
  </si>
  <si>
    <t>Unidades Vendidas = UV</t>
  </si>
  <si>
    <t>Preço Unitário = PU</t>
  </si>
  <si>
    <t>Receita = UV * PU</t>
  </si>
  <si>
    <t>Fluxo de Caixa</t>
  </si>
  <si>
    <t>VPL</t>
  </si>
  <si>
    <t>* ROI %</t>
  </si>
  <si>
    <t>(Ganho - Investimento)/Investimento *</t>
  </si>
  <si>
    <t>taxa Selic</t>
  </si>
  <si>
    <t>* PAYBACK</t>
  </si>
  <si>
    <t>(Ganho inicial / Ganho no período)  *</t>
  </si>
  <si>
    <t>E SE O Custo de Desenvolvimento fosse reduzido em X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</si>
</sst>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R$&quot;\ #,##0.00;[Red]\-&quot;R$&quot;\ #,##0.00"/>
    <numFmt numFmtId="164" formatCode="[$R$]#,##0.00"/>
    <numFmt numFmtId="165" formatCode="&quot;R$&quot;\ #,##0.00"/>
    <numFmt numFmtId="166" formatCode="&quot;$&quot;#,##0.00"/>
    <numFmt numFmtId="167" formatCode="_-* #,##0.00_-;\-* #,##0.00_-;_-* &quot;-&quot;??_-;_-@"/>
    <numFmt numFmtId="168" formatCode="#,##0.00;\(#,##0.00\)"/>
    <numFmt numFmtId="169" formatCode="0.0"/>
  </numFmts>
  <fonts count="23" x14ac:knownFonts="1">
    <font>
      <sz val="11"/>
      <color rgb="FF000000"/>
      <name val="Calibri"/>
    </font>
    <font>
      <b/>
      <sz val="12"/>
      <name val="Calibri"/>
    </font>
    <font>
      <b/>
      <sz val="12"/>
      <color rgb="FF000000"/>
      <name val="Calibri"/>
    </font>
    <font>
      <b/>
      <sz val="14"/>
      <color rgb="FF000000"/>
      <name val="Calibri"/>
    </font>
    <font>
      <sz val="11"/>
      <name val="Calibri"/>
    </font>
    <font>
      <b/>
      <sz val="11"/>
      <name val="Calibri"/>
    </font>
    <font>
      <b/>
      <sz val="14"/>
      <name val="Calibri"/>
    </font>
    <font>
      <sz val="12"/>
      <name val="Calibri"/>
    </font>
    <font>
      <b/>
      <sz val="11"/>
      <color rgb="FF000000"/>
      <name val="Calibri"/>
    </font>
    <font>
      <sz val="12"/>
      <color rgb="FF000000"/>
      <name val="Calibri"/>
    </font>
    <font>
      <sz val="11"/>
      <name val="Calibri"/>
    </font>
    <font>
      <sz val="11"/>
      <color rgb="FF000000"/>
      <name val="Arimo"/>
    </font>
    <font>
      <sz val="17"/>
      <color rgb="FF333333"/>
      <name val="Arial"/>
    </font>
    <font>
      <sz val="11"/>
      <color rgb="FF000000"/>
      <name val="Arial"/>
    </font>
    <font>
      <b/>
      <sz val="8"/>
      <color rgb="FF000000"/>
      <name val="Arial"/>
    </font>
    <font>
      <b/>
      <sz val="12"/>
      <name val="Times New Roman"/>
    </font>
    <font>
      <sz val="8"/>
      <color rgb="FF000000"/>
      <name val="Arial"/>
    </font>
    <font>
      <b/>
      <sz val="11"/>
      <color rgb="FF000000"/>
      <name val="Arial"/>
    </font>
    <font>
      <b/>
      <sz val="8"/>
      <color rgb="FFFF0000"/>
      <name val="Arial"/>
    </font>
    <font>
      <sz val="8"/>
      <color rgb="FFFF0000"/>
      <name val="Arial"/>
    </font>
    <font>
      <b/>
      <sz val="11"/>
      <color rgb="FFFF0000"/>
      <name val="Arial"/>
    </font>
    <font>
      <sz val="8"/>
      <color rgb="FF00B050"/>
      <name val="Arial"/>
    </font>
    <font>
      <b/>
      <sz val="11"/>
      <color rgb="FF00B050"/>
      <name val="Arial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FFFDFD"/>
        <bgColor rgb="FFFFFDF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 applyFont="1" applyAlignment="1"/>
    <xf numFmtId="0" fontId="3" fillId="2" borderId="8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2" borderId="11" xfId="0" applyFont="1" applyFill="1" applyBorder="1"/>
    <xf numFmtId="0" fontId="7" fillId="0" borderId="10" xfId="0" applyFont="1" applyBorder="1"/>
    <xf numFmtId="164" fontId="7" fillId="0" borderId="10" xfId="0" applyNumberFormat="1" applyFont="1" applyBorder="1" applyAlignment="1">
      <alignment horizontal="center"/>
    </xf>
    <xf numFmtId="0" fontId="1" fillId="0" borderId="10" xfId="0" applyFont="1" applyBorder="1"/>
    <xf numFmtId="0" fontId="9" fillId="0" borderId="8" xfId="0" applyFont="1" applyBorder="1"/>
    <xf numFmtId="165" fontId="0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6" fontId="10" fillId="0" borderId="14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5" xfId="0" applyFont="1" applyBorder="1"/>
    <xf numFmtId="0" fontId="0" fillId="0" borderId="0" xfId="0" applyFont="1"/>
    <xf numFmtId="0" fontId="0" fillId="0" borderId="16" xfId="0" applyFont="1" applyBorder="1"/>
    <xf numFmtId="0" fontId="0" fillId="0" borderId="15" xfId="0" applyFont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165" fontId="8" fillId="3" borderId="10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left" wrapText="1"/>
    </xf>
    <xf numFmtId="166" fontId="5" fillId="3" borderId="14" xfId="0" applyNumberFormat="1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3" fontId="0" fillId="4" borderId="10" xfId="0" applyNumberFormat="1" applyFont="1" applyFill="1" applyBorder="1" applyAlignment="1">
      <alignment horizontal="center"/>
    </xf>
    <xf numFmtId="3" fontId="0" fillId="4" borderId="14" xfId="0" applyNumberFormat="1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wrapText="1"/>
    </xf>
    <xf numFmtId="0" fontId="0" fillId="0" borderId="17" xfId="0" applyFont="1" applyBorder="1" applyAlignment="1">
      <alignment wrapText="1"/>
    </xf>
    <xf numFmtId="0" fontId="2" fillId="3" borderId="17" xfId="0" applyFont="1" applyFill="1" applyBorder="1" applyAlignment="1">
      <alignment horizontal="center"/>
    </xf>
    <xf numFmtId="165" fontId="5" fillId="3" borderId="19" xfId="0" applyNumberFormat="1" applyFont="1" applyFill="1" applyBorder="1" applyAlignment="1">
      <alignment horizontal="center"/>
    </xf>
    <xf numFmtId="166" fontId="5" fillId="3" borderId="21" xfId="0" applyNumberFormat="1" applyFont="1" applyFill="1" applyBorder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0" fillId="0" borderId="21" xfId="0" applyFont="1" applyBorder="1" applyAlignment="1">
      <alignment horizontal="center"/>
    </xf>
    <xf numFmtId="0" fontId="0" fillId="0" borderId="0" xfId="0" applyFont="1" applyAlignment="1">
      <alignment wrapText="1"/>
    </xf>
    <xf numFmtId="0" fontId="8" fillId="2" borderId="10" xfId="0" applyFont="1" applyFill="1" applyBorder="1" applyAlignment="1">
      <alignment horizontal="center" wrapText="1"/>
    </xf>
    <xf numFmtId="0" fontId="14" fillId="0" borderId="6" xfId="0" applyFont="1" applyBorder="1" applyAlignment="1">
      <alignment horizontal="center"/>
    </xf>
    <xf numFmtId="167" fontId="15" fillId="2" borderId="10" xfId="0" applyNumberFormat="1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17" fontId="0" fillId="0" borderId="0" xfId="0" applyNumberFormat="1" applyFont="1" applyAlignment="1">
      <alignment horizontal="center"/>
    </xf>
    <xf numFmtId="0" fontId="10" fillId="0" borderId="6" xfId="0" applyFont="1" applyBorder="1"/>
    <xf numFmtId="0" fontId="10" fillId="0" borderId="10" xfId="0" applyFont="1" applyBorder="1"/>
    <xf numFmtId="0" fontId="10" fillId="0" borderId="0" xfId="0" applyFont="1"/>
    <xf numFmtId="168" fontId="10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wrapText="1"/>
    </xf>
    <xf numFmtId="0" fontId="16" fillId="0" borderId="24" xfId="0" applyFont="1" applyBorder="1" applyAlignment="1">
      <alignment horizontal="center"/>
    </xf>
    <xf numFmtId="167" fontId="0" fillId="0" borderId="10" xfId="0" applyNumberFormat="1" applyFont="1" applyBorder="1" applyAlignment="1">
      <alignment horizontal="center" vertical="center"/>
    </xf>
    <xf numFmtId="167" fontId="0" fillId="0" borderId="0" xfId="0" applyNumberFormat="1" applyFont="1"/>
    <xf numFmtId="167" fontId="0" fillId="5" borderId="10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wrapText="1"/>
    </xf>
    <xf numFmtId="165" fontId="14" fillId="0" borderId="24" xfId="0" applyNumberFormat="1" applyFont="1" applyBorder="1" applyAlignment="1">
      <alignment horizontal="center"/>
    </xf>
    <xf numFmtId="168" fontId="0" fillId="2" borderId="10" xfId="0" applyNumberFormat="1" applyFont="1" applyFill="1" applyBorder="1"/>
    <xf numFmtId="166" fontId="14" fillId="0" borderId="24" xfId="0" applyNumberFormat="1" applyFont="1" applyBorder="1" applyAlignment="1">
      <alignment horizontal="center"/>
    </xf>
    <xf numFmtId="0" fontId="19" fillId="0" borderId="24" xfId="0" applyFont="1" applyBorder="1" applyAlignment="1">
      <alignment wrapText="1"/>
    </xf>
    <xf numFmtId="165" fontId="16" fillId="0" borderId="24" xfId="0" applyNumberFormat="1" applyFont="1" applyBorder="1" applyAlignment="1">
      <alignment horizontal="center"/>
    </xf>
    <xf numFmtId="3" fontId="14" fillId="0" borderId="24" xfId="0" applyNumberFormat="1" applyFont="1" applyBorder="1" applyAlignment="1">
      <alignment horizontal="center"/>
    </xf>
    <xf numFmtId="1" fontId="14" fillId="0" borderId="24" xfId="0" applyNumberFormat="1" applyFont="1" applyBorder="1" applyAlignment="1">
      <alignment horizontal="center"/>
    </xf>
    <xf numFmtId="0" fontId="18" fillId="0" borderId="24" xfId="0" applyFont="1" applyBorder="1" applyAlignment="1">
      <alignment horizontal="right" wrapText="1"/>
    </xf>
    <xf numFmtId="165" fontId="14" fillId="3" borderId="31" xfId="0" applyNumberFormat="1" applyFont="1" applyFill="1" applyBorder="1" applyAlignment="1">
      <alignment horizontal="center"/>
    </xf>
    <xf numFmtId="0" fontId="21" fillId="0" borderId="24" xfId="0" applyFont="1" applyBorder="1"/>
    <xf numFmtId="0" fontId="14" fillId="0" borderId="24" xfId="0" applyFont="1" applyBorder="1" applyAlignment="1">
      <alignment horizontal="center"/>
    </xf>
    <xf numFmtId="0" fontId="22" fillId="3" borderId="31" xfId="0" applyFont="1" applyFill="1" applyBorder="1" applyAlignment="1">
      <alignment horizontal="right"/>
    </xf>
    <xf numFmtId="8" fontId="17" fillId="6" borderId="31" xfId="0" applyNumberFormat="1" applyFont="1" applyFill="1" applyBorder="1" applyAlignment="1">
      <alignment horizontal="center"/>
    </xf>
    <xf numFmtId="0" fontId="5" fillId="6" borderId="34" xfId="0" applyFont="1" applyFill="1" applyBorder="1"/>
    <xf numFmtId="10" fontId="17" fillId="0" borderId="24" xfId="0" applyNumberFormat="1" applyFont="1" applyBorder="1" applyAlignment="1">
      <alignment horizontal="center"/>
    </xf>
    <xf numFmtId="0" fontId="10" fillId="0" borderId="35" xfId="0" applyFont="1" applyBorder="1"/>
    <xf numFmtId="0" fontId="10" fillId="0" borderId="27" xfId="0" applyFont="1" applyBorder="1"/>
    <xf numFmtId="169" fontId="14" fillId="6" borderId="10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7" xfId="0" applyFont="1" applyBorder="1"/>
    <xf numFmtId="0" fontId="3" fillId="2" borderId="12" xfId="0" applyFont="1" applyFill="1" applyBorder="1" applyAlignment="1">
      <alignment horizontal="center"/>
    </xf>
    <xf numFmtId="0" fontId="4" fillId="0" borderId="4" xfId="0" applyFont="1" applyBorder="1"/>
    <xf numFmtId="0" fontId="4" fillId="0" borderId="13" xfId="0" applyFont="1" applyBorder="1"/>
    <xf numFmtId="0" fontId="3" fillId="2" borderId="12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8" fillId="3" borderId="2" xfId="0" applyFont="1" applyFill="1" applyBorder="1" applyAlignment="1">
      <alignment horizontal="center"/>
    </xf>
    <xf numFmtId="0" fontId="0" fillId="0" borderId="18" xfId="0" applyFont="1" applyBorder="1" applyAlignment="1">
      <alignment horizontal="center" vertical="center"/>
    </xf>
    <xf numFmtId="0" fontId="4" fillId="0" borderId="20" xfId="0" applyFont="1" applyBorder="1"/>
    <xf numFmtId="0" fontId="4" fillId="0" borderId="22" xfId="0" applyFont="1" applyBorder="1"/>
    <xf numFmtId="0" fontId="8" fillId="2" borderId="2" xfId="0" applyFont="1" applyFill="1" applyBorder="1" applyAlignment="1">
      <alignment horizontal="center"/>
    </xf>
    <xf numFmtId="0" fontId="4" fillId="0" borderId="6" xfId="0" applyFont="1" applyBorder="1"/>
    <xf numFmtId="0" fontId="8" fillId="0" borderId="2" xfId="0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8" fillId="2" borderId="25" xfId="0" applyFont="1" applyFill="1" applyBorder="1" applyAlignment="1">
      <alignment horizontal="center" vertical="center" wrapText="1"/>
    </xf>
    <xf numFmtId="0" fontId="4" fillId="0" borderId="26" xfId="0" applyFont="1" applyBorder="1"/>
    <xf numFmtId="0" fontId="2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9" xfId="0" applyFont="1" applyBorder="1"/>
    <xf numFmtId="0" fontId="18" fillId="0" borderId="23" xfId="0" applyFont="1" applyBorder="1" applyAlignment="1">
      <alignment horizontal="right" wrapText="1"/>
    </xf>
    <xf numFmtId="0" fontId="4" fillId="0" borderId="24" xfId="0" applyFont="1" applyBorder="1"/>
    <xf numFmtId="0" fontId="13" fillId="0" borderId="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165" fontId="14" fillId="0" borderId="27" xfId="0" applyNumberFormat="1" applyFont="1" applyBorder="1" applyAlignment="1">
      <alignment horizontal="center" vertical="center"/>
    </xf>
    <xf numFmtId="0" fontId="4" fillId="0" borderId="27" xfId="0" applyFont="1" applyBorder="1"/>
    <xf numFmtId="0" fontId="18" fillId="0" borderId="28" xfId="0" applyFont="1" applyBorder="1" applyAlignment="1">
      <alignment horizontal="center" textRotation="90"/>
    </xf>
    <xf numFmtId="0" fontId="4" fillId="0" borderId="28" xfId="0" applyFont="1" applyBorder="1"/>
    <xf numFmtId="0" fontId="17" fillId="3" borderId="32" xfId="0" applyFont="1" applyFill="1" applyBorder="1" applyAlignment="1">
      <alignment horizontal="center"/>
    </xf>
    <xf numFmtId="0" fontId="4" fillId="0" borderId="30" xfId="0" applyFont="1" applyBorder="1"/>
    <xf numFmtId="0" fontId="5" fillId="7" borderId="1" xfId="0" applyFont="1" applyFill="1" applyBorder="1"/>
    <xf numFmtId="0" fontId="4" fillId="0" borderId="35" xfId="0" applyFont="1" applyBorder="1"/>
    <xf numFmtId="0" fontId="17" fillId="6" borderId="29" xfId="0" applyFont="1" applyFill="1" applyBorder="1" applyAlignment="1">
      <alignment horizontal="center"/>
    </xf>
    <xf numFmtId="0" fontId="4" fillId="0" borderId="33" xfId="0" applyFont="1" applyBorder="1"/>
    <xf numFmtId="0" fontId="20" fillId="3" borderId="29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6" fillId="0" borderId="3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tabSelected="1" zoomScale="70" zoomScaleNormal="70" workbookViewId="0">
      <selection activeCell="A39" sqref="A39"/>
    </sheetView>
  </sheetViews>
  <sheetFormatPr defaultColWidth="14.42578125" defaultRowHeight="15" customHeight="1" x14ac:dyDescent="0.25"/>
  <cols>
    <col min="1" max="1" width="66.7109375" customWidth="1"/>
    <col min="2" max="2" width="28.140625" customWidth="1"/>
    <col min="3" max="3" width="43.7109375" customWidth="1"/>
    <col min="4" max="4" width="43.140625" customWidth="1"/>
    <col min="5" max="13" width="8.7109375" customWidth="1"/>
  </cols>
  <sheetData>
    <row r="1" spans="1:4" ht="18.75" x14ac:dyDescent="0.25">
      <c r="A1" s="69" t="s">
        <v>2</v>
      </c>
      <c r="B1" s="70"/>
      <c r="C1" s="70"/>
      <c r="D1" s="71"/>
    </row>
    <row r="2" spans="1:4" ht="18.75" x14ac:dyDescent="0.3">
      <c r="A2" s="1" t="s">
        <v>4</v>
      </c>
      <c r="B2" s="2" t="s">
        <v>5</v>
      </c>
      <c r="C2" s="2" t="s">
        <v>6</v>
      </c>
      <c r="D2" s="4" t="s">
        <v>7</v>
      </c>
    </row>
    <row r="3" spans="1:4" ht="18.75" x14ac:dyDescent="0.25">
      <c r="A3" s="75" t="s">
        <v>8</v>
      </c>
      <c r="B3" s="73"/>
      <c r="C3" s="73"/>
      <c r="D3" s="74"/>
    </row>
    <row r="4" spans="1:4" ht="15.75" x14ac:dyDescent="0.25">
      <c r="A4" s="8" t="s">
        <v>12</v>
      </c>
      <c r="B4" s="9">
        <v>400000</v>
      </c>
      <c r="C4" s="9">
        <v>40000</v>
      </c>
      <c r="D4" s="11">
        <f t="shared" ref="D4:D21" si="0">C4/12</f>
        <v>3333.3333333333335</v>
      </c>
    </row>
    <row r="5" spans="1:4" ht="15.75" x14ac:dyDescent="0.25">
      <c r="A5" s="8" t="s">
        <v>14</v>
      </c>
      <c r="B5" s="9">
        <v>300000</v>
      </c>
      <c r="C5" s="9">
        <v>30000</v>
      </c>
      <c r="D5" s="11">
        <f t="shared" si="0"/>
        <v>2500</v>
      </c>
    </row>
    <row r="6" spans="1:4" ht="15.75" x14ac:dyDescent="0.25">
      <c r="A6" s="8" t="s">
        <v>15</v>
      </c>
      <c r="B6" s="9">
        <v>1000000</v>
      </c>
      <c r="C6" s="9">
        <v>100000</v>
      </c>
      <c r="D6" s="11">
        <f t="shared" si="0"/>
        <v>8333.3333333333339</v>
      </c>
    </row>
    <row r="7" spans="1:4" ht="15.75" x14ac:dyDescent="0.25">
      <c r="A7" s="8" t="s">
        <v>16</v>
      </c>
      <c r="B7" s="9">
        <v>250000</v>
      </c>
      <c r="C7" s="9">
        <v>25000</v>
      </c>
      <c r="D7" s="11">
        <f t="shared" si="0"/>
        <v>2083.3333333333335</v>
      </c>
    </row>
    <row r="8" spans="1:4" ht="15.75" x14ac:dyDescent="0.25">
      <c r="A8" s="8" t="s">
        <v>17</v>
      </c>
      <c r="B8" s="9">
        <v>150000</v>
      </c>
      <c r="C8" s="9">
        <v>15000</v>
      </c>
      <c r="D8" s="11">
        <f t="shared" si="0"/>
        <v>1250</v>
      </c>
    </row>
    <row r="9" spans="1:4" ht="15.75" x14ac:dyDescent="0.25">
      <c r="A9" s="8" t="s">
        <v>18</v>
      </c>
      <c r="B9" s="9">
        <v>1000000</v>
      </c>
      <c r="C9" s="9">
        <v>100000</v>
      </c>
      <c r="D9" s="11">
        <f t="shared" si="0"/>
        <v>8333.3333333333339</v>
      </c>
    </row>
    <row r="10" spans="1:4" ht="15.75" x14ac:dyDescent="0.25">
      <c r="A10" s="8" t="s">
        <v>19</v>
      </c>
      <c r="B10" s="9">
        <v>1200000</v>
      </c>
      <c r="C10" s="9">
        <v>120000</v>
      </c>
      <c r="D10" s="11">
        <f t="shared" si="0"/>
        <v>10000</v>
      </c>
    </row>
    <row r="11" spans="1:4" ht="15.75" x14ac:dyDescent="0.25">
      <c r="A11" s="8" t="s">
        <v>20</v>
      </c>
      <c r="B11" s="9">
        <v>1100000</v>
      </c>
      <c r="C11" s="9">
        <v>110000</v>
      </c>
      <c r="D11" s="11">
        <f t="shared" si="0"/>
        <v>9166.6666666666661</v>
      </c>
    </row>
    <row r="12" spans="1:4" ht="15.75" x14ac:dyDescent="0.25">
      <c r="A12" s="8" t="s">
        <v>21</v>
      </c>
      <c r="B12" s="9">
        <v>1150000</v>
      </c>
      <c r="C12" s="9">
        <v>115000</v>
      </c>
      <c r="D12" s="11">
        <f t="shared" si="0"/>
        <v>9583.3333333333339</v>
      </c>
    </row>
    <row r="13" spans="1:4" ht="15.75" x14ac:dyDescent="0.25">
      <c r="A13" s="8" t="s">
        <v>22</v>
      </c>
      <c r="B13" s="9">
        <v>1000000</v>
      </c>
      <c r="C13" s="9">
        <v>100000</v>
      </c>
      <c r="D13" s="11">
        <f t="shared" si="0"/>
        <v>8333.3333333333339</v>
      </c>
    </row>
    <row r="14" spans="1:4" ht="15.75" x14ac:dyDescent="0.25">
      <c r="A14" s="8" t="s">
        <v>23</v>
      </c>
      <c r="B14" s="9">
        <v>600000</v>
      </c>
      <c r="C14" s="9">
        <v>60000</v>
      </c>
      <c r="D14" s="11">
        <f t="shared" si="0"/>
        <v>5000</v>
      </c>
    </row>
    <row r="15" spans="1:4" ht="15.75" x14ac:dyDescent="0.25">
      <c r="A15" s="8" t="s">
        <v>24</v>
      </c>
      <c r="B15" s="9">
        <v>2000000</v>
      </c>
      <c r="C15" s="9">
        <v>200000</v>
      </c>
      <c r="D15" s="11">
        <f t="shared" si="0"/>
        <v>16666.666666666668</v>
      </c>
    </row>
    <row r="16" spans="1:4" ht="15.75" x14ac:dyDescent="0.25">
      <c r="A16" s="8" t="s">
        <v>26</v>
      </c>
      <c r="B16" s="9">
        <v>900000</v>
      </c>
      <c r="C16" s="9">
        <v>90000</v>
      </c>
      <c r="D16" s="11">
        <f t="shared" si="0"/>
        <v>7500</v>
      </c>
    </row>
    <row r="17" spans="1:4" ht="15.75" x14ac:dyDescent="0.25">
      <c r="A17" s="8" t="s">
        <v>27</v>
      </c>
      <c r="B17" s="9">
        <v>600000</v>
      </c>
      <c r="C17" s="9">
        <v>60000</v>
      </c>
      <c r="D17" s="11">
        <f t="shared" si="0"/>
        <v>5000</v>
      </c>
    </row>
    <row r="18" spans="1:4" ht="15.75" x14ac:dyDescent="0.25">
      <c r="A18" s="8" t="s">
        <v>28</v>
      </c>
      <c r="B18" s="9">
        <v>200000</v>
      </c>
      <c r="C18" s="9">
        <v>20000</v>
      </c>
      <c r="D18" s="11">
        <f t="shared" si="0"/>
        <v>1666.6666666666667</v>
      </c>
    </row>
    <row r="19" spans="1:4" ht="15.75" x14ac:dyDescent="0.25">
      <c r="A19" s="8" t="s">
        <v>30</v>
      </c>
      <c r="B19" s="9">
        <v>800000</v>
      </c>
      <c r="C19" s="9">
        <v>80000</v>
      </c>
      <c r="D19" s="11">
        <f t="shared" si="0"/>
        <v>6666.666666666667</v>
      </c>
    </row>
    <row r="20" spans="1:4" ht="15.75" x14ac:dyDescent="0.25">
      <c r="A20" s="8" t="s">
        <v>31</v>
      </c>
      <c r="B20" s="9">
        <v>1000000</v>
      </c>
      <c r="C20" s="9">
        <v>100000</v>
      </c>
      <c r="D20" s="11">
        <f t="shared" si="0"/>
        <v>8333.3333333333339</v>
      </c>
    </row>
    <row r="21" spans="1:4" ht="15.75" customHeight="1" x14ac:dyDescent="0.25">
      <c r="A21" s="18" t="s">
        <v>11</v>
      </c>
      <c r="B21" s="20">
        <f t="shared" ref="B21:C21" si="1">SUM(B4:B20)</f>
        <v>13650000</v>
      </c>
      <c r="C21" s="20">
        <f t="shared" si="1"/>
        <v>1365000</v>
      </c>
      <c r="D21" s="22">
        <f t="shared" si="0"/>
        <v>113750</v>
      </c>
    </row>
    <row r="22" spans="1:4" ht="15.75" customHeight="1" x14ac:dyDescent="0.3">
      <c r="A22" s="72" t="s">
        <v>37</v>
      </c>
      <c r="B22" s="73"/>
      <c r="C22" s="73"/>
      <c r="D22" s="74"/>
    </row>
    <row r="23" spans="1:4" ht="15.75" customHeight="1" x14ac:dyDescent="0.25">
      <c r="A23" s="8" t="s">
        <v>39</v>
      </c>
      <c r="B23" s="9">
        <v>220000</v>
      </c>
      <c r="C23" s="9">
        <v>22000</v>
      </c>
      <c r="D23" s="11">
        <f t="shared" ref="D23:D27" si="2">C23/12</f>
        <v>1833.3333333333333</v>
      </c>
    </row>
    <row r="24" spans="1:4" ht="15.75" customHeight="1" x14ac:dyDescent="0.25">
      <c r="A24" s="8" t="s">
        <v>40</v>
      </c>
      <c r="B24" s="9">
        <v>90000</v>
      </c>
      <c r="C24" s="9">
        <v>9000</v>
      </c>
      <c r="D24" s="11">
        <f t="shared" si="2"/>
        <v>750</v>
      </c>
    </row>
    <row r="25" spans="1:4" ht="15.75" customHeight="1" x14ac:dyDescent="0.25">
      <c r="A25" s="8" t="s">
        <v>41</v>
      </c>
      <c r="B25" s="9">
        <v>60000</v>
      </c>
      <c r="C25" s="9">
        <v>6000</v>
      </c>
      <c r="D25" s="11">
        <f t="shared" si="2"/>
        <v>500</v>
      </c>
    </row>
    <row r="26" spans="1:4" ht="15.75" customHeight="1" x14ac:dyDescent="0.25">
      <c r="A26" s="8" t="s">
        <v>43</v>
      </c>
      <c r="B26" s="9">
        <v>700000</v>
      </c>
      <c r="C26" s="9">
        <v>70000</v>
      </c>
      <c r="D26" s="11">
        <f t="shared" si="2"/>
        <v>5833.333333333333</v>
      </c>
    </row>
    <row r="27" spans="1:4" ht="15.75" customHeight="1" x14ac:dyDescent="0.25">
      <c r="A27" s="18" t="s">
        <v>11</v>
      </c>
      <c r="B27" s="20">
        <f t="shared" ref="B27:C27" si="3">SUM(B23:B26)</f>
        <v>1070000</v>
      </c>
      <c r="C27" s="20">
        <f t="shared" si="3"/>
        <v>107000</v>
      </c>
      <c r="D27" s="22">
        <f t="shared" si="2"/>
        <v>8916.6666666666661</v>
      </c>
    </row>
    <row r="28" spans="1:4" ht="15.75" customHeight="1" x14ac:dyDescent="0.3">
      <c r="A28" s="72" t="s">
        <v>45</v>
      </c>
      <c r="B28" s="73"/>
      <c r="C28" s="73"/>
      <c r="D28" s="74"/>
    </row>
    <row r="29" spans="1:4" ht="15.75" customHeight="1" x14ac:dyDescent="0.25">
      <c r="A29" s="8" t="s">
        <v>48</v>
      </c>
      <c r="B29" s="9">
        <v>1500000</v>
      </c>
      <c r="C29" s="9">
        <v>150000</v>
      </c>
      <c r="D29" s="11">
        <f t="shared" ref="D29:D35" si="4">C29/12</f>
        <v>12500</v>
      </c>
    </row>
    <row r="30" spans="1:4" ht="15.75" customHeight="1" x14ac:dyDescent="0.25">
      <c r="A30" s="8" t="s">
        <v>50</v>
      </c>
      <c r="B30" s="9">
        <v>1300000</v>
      </c>
      <c r="C30" s="9">
        <v>130000</v>
      </c>
      <c r="D30" s="11">
        <f t="shared" si="4"/>
        <v>10833.333333333334</v>
      </c>
    </row>
    <row r="31" spans="1:4" ht="15.75" customHeight="1" x14ac:dyDescent="0.25">
      <c r="A31" s="8" t="s">
        <v>52</v>
      </c>
      <c r="B31" s="9">
        <v>950000</v>
      </c>
      <c r="C31" s="9">
        <v>95000</v>
      </c>
      <c r="D31" s="11">
        <f t="shared" si="4"/>
        <v>7916.666666666667</v>
      </c>
    </row>
    <row r="32" spans="1:4" ht="15.75" customHeight="1" x14ac:dyDescent="0.25">
      <c r="A32" s="8" t="s">
        <v>53</v>
      </c>
      <c r="B32" s="9">
        <v>1200000</v>
      </c>
      <c r="C32" s="9">
        <v>120000</v>
      </c>
      <c r="D32" s="11">
        <f t="shared" si="4"/>
        <v>10000</v>
      </c>
    </row>
    <row r="33" spans="1:4" ht="15.75" customHeight="1" x14ac:dyDescent="0.25">
      <c r="A33" s="8" t="s">
        <v>54</v>
      </c>
      <c r="B33" s="9">
        <v>1000000</v>
      </c>
      <c r="C33" s="9">
        <v>100000</v>
      </c>
      <c r="D33" s="11">
        <f t="shared" si="4"/>
        <v>8333.3333333333339</v>
      </c>
    </row>
    <row r="34" spans="1:4" ht="15.75" customHeight="1" x14ac:dyDescent="0.25">
      <c r="A34" s="8" t="s">
        <v>55</v>
      </c>
      <c r="B34" s="9">
        <v>1600000</v>
      </c>
      <c r="C34" s="9">
        <v>160000</v>
      </c>
      <c r="D34" s="11">
        <f t="shared" si="4"/>
        <v>13333.333333333334</v>
      </c>
    </row>
    <row r="35" spans="1:4" ht="15.75" customHeight="1" x14ac:dyDescent="0.25">
      <c r="A35" s="30" t="s">
        <v>11</v>
      </c>
      <c r="B35" s="31">
        <f t="shared" ref="B35:C35" si="5">SUM(B29:B34)</f>
        <v>7550000</v>
      </c>
      <c r="C35" s="31">
        <f t="shared" si="5"/>
        <v>755000</v>
      </c>
      <c r="D35" s="32">
        <f t="shared" si="4"/>
        <v>62916.666666666664</v>
      </c>
    </row>
    <row r="36" spans="1:4" ht="15.75" customHeight="1" x14ac:dyDescent="0.25"/>
    <row r="37" spans="1:4" ht="15.75" customHeight="1" x14ac:dyDescent="0.25"/>
    <row r="38" spans="1:4" ht="15.75" customHeight="1" x14ac:dyDescent="0.25"/>
    <row r="39" spans="1:4" ht="15.75" customHeight="1" x14ac:dyDescent="0.25"/>
    <row r="40" spans="1:4" ht="15.75" customHeight="1" x14ac:dyDescent="0.25"/>
    <row r="41" spans="1:4" ht="15.75" customHeight="1" x14ac:dyDescent="0.25">
      <c r="A41" s="33"/>
    </row>
    <row r="42" spans="1:4" ht="15.75" customHeight="1" x14ac:dyDescent="0.25">
      <c r="A42" s="33"/>
    </row>
    <row r="43" spans="1:4" ht="15.75" customHeight="1" x14ac:dyDescent="0.25"/>
    <row r="44" spans="1:4" ht="15.75" customHeight="1" x14ac:dyDescent="0.25"/>
    <row r="45" spans="1:4" ht="15.75" customHeight="1" x14ac:dyDescent="0.25"/>
    <row r="46" spans="1:4" ht="15.75" customHeight="1" x14ac:dyDescent="0.25"/>
    <row r="47" spans="1:4" ht="15.75" customHeight="1" x14ac:dyDescent="0.25"/>
    <row r="48" spans="1: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A1:D1"/>
    <mergeCell ref="A22:D22"/>
    <mergeCell ref="A28:D28"/>
    <mergeCell ref="A3:D3"/>
  </mergeCells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10" workbookViewId="0">
      <selection activeCell="D18" sqref="D18"/>
    </sheetView>
  </sheetViews>
  <sheetFormatPr defaultColWidth="14.42578125" defaultRowHeight="15" customHeight="1" x14ac:dyDescent="0.25"/>
  <cols>
    <col min="1" max="1" width="63.85546875" customWidth="1"/>
    <col min="2" max="2" width="16.5703125" customWidth="1"/>
    <col min="3" max="3" width="12.5703125" customWidth="1"/>
    <col min="4" max="4" width="10.140625" customWidth="1"/>
    <col min="5" max="5" width="12.28515625" customWidth="1"/>
    <col min="6" max="6" width="15.85546875" customWidth="1"/>
    <col min="7" max="16" width="8.7109375" customWidth="1"/>
  </cols>
  <sheetData>
    <row r="1" spans="1:9" ht="20.25" customHeight="1" x14ac:dyDescent="0.25">
      <c r="A1" s="88" t="s">
        <v>1</v>
      </c>
      <c r="B1" s="73"/>
      <c r="C1" s="73"/>
      <c r="D1" s="73"/>
      <c r="E1" s="73"/>
      <c r="F1" s="83"/>
    </row>
    <row r="2" spans="1:9" x14ac:dyDescent="0.25">
      <c r="A2" s="78" t="s">
        <v>3</v>
      </c>
      <c r="B2" s="83"/>
      <c r="C2" s="85">
        <v>50000</v>
      </c>
      <c r="D2" s="83"/>
      <c r="E2" s="84" t="s">
        <v>13</v>
      </c>
      <c r="F2" s="83"/>
      <c r="G2" s="12"/>
      <c r="H2" s="12"/>
      <c r="I2" s="12"/>
    </row>
    <row r="3" spans="1:9" x14ac:dyDescent="0.25">
      <c r="A3" s="13"/>
      <c r="B3" s="14"/>
      <c r="C3" s="14"/>
      <c r="D3" s="14"/>
      <c r="E3" s="14"/>
      <c r="F3" s="15"/>
      <c r="G3" s="12"/>
      <c r="H3" s="12"/>
      <c r="I3" s="12"/>
    </row>
    <row r="4" spans="1:9" x14ac:dyDescent="0.25">
      <c r="A4" s="16"/>
      <c r="B4" s="78" t="s">
        <v>25</v>
      </c>
      <c r="C4" s="73"/>
      <c r="D4" s="73"/>
      <c r="E4" s="73"/>
      <c r="F4" s="74"/>
      <c r="G4" s="76"/>
      <c r="H4" s="77"/>
      <c r="I4" s="77"/>
    </row>
    <row r="5" spans="1:9" x14ac:dyDescent="0.25">
      <c r="A5" s="13"/>
      <c r="B5" s="17" t="s">
        <v>29</v>
      </c>
      <c r="C5" s="17" t="s">
        <v>32</v>
      </c>
      <c r="D5" s="17" t="s">
        <v>33</v>
      </c>
      <c r="E5" s="17" t="s">
        <v>34</v>
      </c>
      <c r="F5" s="19" t="s">
        <v>35</v>
      </c>
      <c r="G5" s="76"/>
      <c r="H5" s="77"/>
      <c r="I5" s="77"/>
    </row>
    <row r="6" spans="1:9" x14ac:dyDescent="0.25">
      <c r="A6" s="21" t="s">
        <v>36</v>
      </c>
      <c r="B6" s="23">
        <v>1160.51</v>
      </c>
      <c r="C6" s="23">
        <v>1551.7</v>
      </c>
      <c r="D6" s="24" t="s">
        <v>38</v>
      </c>
      <c r="E6" s="23">
        <v>2.7</v>
      </c>
      <c r="F6" s="25">
        <v>147.37</v>
      </c>
    </row>
    <row r="7" spans="1:9" x14ac:dyDescent="0.25">
      <c r="A7" s="21" t="s">
        <v>42</v>
      </c>
      <c r="B7" s="23">
        <v>29000</v>
      </c>
      <c r="C7" s="23">
        <v>30000</v>
      </c>
      <c r="D7" s="23">
        <v>630000</v>
      </c>
      <c r="E7" s="23">
        <v>500000</v>
      </c>
      <c r="F7" s="25">
        <v>105000</v>
      </c>
    </row>
    <row r="8" spans="1:9" x14ac:dyDescent="0.25">
      <c r="A8" s="21" t="s">
        <v>44</v>
      </c>
      <c r="B8" s="26">
        <v>48154741</v>
      </c>
      <c r="C8" s="26">
        <v>77585100</v>
      </c>
      <c r="D8" s="26">
        <v>630000</v>
      </c>
      <c r="E8" s="26">
        <v>135000</v>
      </c>
      <c r="F8" s="27">
        <v>7368375</v>
      </c>
    </row>
    <row r="9" spans="1:9" ht="18.75" customHeight="1" x14ac:dyDescent="0.25">
      <c r="A9" s="21" t="s">
        <v>46</v>
      </c>
      <c r="B9" s="23">
        <v>7250</v>
      </c>
      <c r="C9" s="23">
        <v>7500</v>
      </c>
      <c r="D9" s="23">
        <v>157500</v>
      </c>
      <c r="E9" s="23">
        <v>125000</v>
      </c>
      <c r="F9" s="25">
        <v>26250</v>
      </c>
    </row>
    <row r="10" spans="1:9" x14ac:dyDescent="0.25">
      <c r="A10" s="21" t="s">
        <v>47</v>
      </c>
      <c r="B10" s="23">
        <v>29000</v>
      </c>
      <c r="C10" s="23">
        <v>30000</v>
      </c>
      <c r="D10" s="23">
        <v>630000</v>
      </c>
      <c r="E10" s="23">
        <v>500000</v>
      </c>
      <c r="F10" s="25">
        <v>105000</v>
      </c>
    </row>
    <row r="11" spans="1:9" x14ac:dyDescent="0.25">
      <c r="A11" s="13"/>
      <c r="B11" s="14"/>
      <c r="C11" s="14"/>
      <c r="D11" s="14"/>
      <c r="E11" s="14"/>
      <c r="F11" s="15"/>
    </row>
    <row r="12" spans="1:9" x14ac:dyDescent="0.25">
      <c r="A12" s="28" t="s">
        <v>49</v>
      </c>
      <c r="B12" s="82" t="s">
        <v>51</v>
      </c>
      <c r="C12" s="73"/>
      <c r="D12" s="73"/>
      <c r="E12" s="73"/>
      <c r="F12" s="74"/>
    </row>
    <row r="13" spans="1:9" ht="18" customHeight="1" x14ac:dyDescent="0.25">
      <c r="A13" s="29" t="s">
        <v>56</v>
      </c>
      <c r="B13" s="79">
        <f>50000/12</f>
        <v>4166.666666666667</v>
      </c>
      <c r="C13" s="80"/>
      <c r="D13" s="80"/>
      <c r="E13" s="81"/>
      <c r="F13" s="34" t="s">
        <v>58</v>
      </c>
    </row>
    <row r="15" spans="1:9" x14ac:dyDescent="0.25">
      <c r="A15" s="35"/>
    </row>
    <row r="16" spans="1:9" ht="15.75" x14ac:dyDescent="0.25">
      <c r="A16" s="36" t="s">
        <v>59</v>
      </c>
      <c r="B16" s="38" t="s">
        <v>60</v>
      </c>
      <c r="C16" s="40"/>
    </row>
    <row r="17" spans="1:3" x14ac:dyDescent="0.25">
      <c r="A17" s="42" t="s">
        <v>61</v>
      </c>
      <c r="B17" s="44">
        <f>5*C2</f>
        <v>250000</v>
      </c>
    </row>
    <row r="18" spans="1:3" x14ac:dyDescent="0.25">
      <c r="A18" s="45" t="s">
        <v>63</v>
      </c>
      <c r="B18" s="47">
        <f>B17+B8+C8+D8+E8+F8</f>
        <v>134123216</v>
      </c>
      <c r="C18" s="48"/>
    </row>
    <row r="19" spans="1:3" ht="15.75" customHeight="1" x14ac:dyDescent="0.25">
      <c r="A19" s="45" t="s">
        <v>64</v>
      </c>
      <c r="B19" s="47">
        <f>B20*C2</f>
        <v>11459500</v>
      </c>
      <c r="C19" s="48"/>
    </row>
    <row r="20" spans="1:3" ht="15.75" customHeight="1" x14ac:dyDescent="0.25">
      <c r="A20" s="45" t="s">
        <v>66</v>
      </c>
      <c r="B20" s="49">
        <v>229.19</v>
      </c>
      <c r="C20" s="48"/>
    </row>
    <row r="21" spans="1:3" ht="15.75" customHeight="1" x14ac:dyDescent="0.25">
      <c r="A21" s="45" t="s">
        <v>68</v>
      </c>
      <c r="B21" s="47">
        <f>B22/C2</f>
        <v>2911.6543200000001</v>
      </c>
      <c r="C21" s="48"/>
    </row>
    <row r="22" spans="1:3" ht="15.75" customHeight="1" x14ac:dyDescent="0.25">
      <c r="A22" s="50" t="s">
        <v>69</v>
      </c>
      <c r="B22" s="47">
        <f>B18+B19</f>
        <v>145582716</v>
      </c>
      <c r="C22" s="48"/>
    </row>
    <row r="23" spans="1:3" ht="15.75" customHeight="1" x14ac:dyDescent="0.25">
      <c r="C23" s="48"/>
    </row>
    <row r="24" spans="1:3" ht="15.75" customHeight="1" x14ac:dyDescent="0.25">
      <c r="A24" s="35"/>
      <c r="B24" s="48"/>
      <c r="C24" s="48"/>
    </row>
    <row r="25" spans="1:3" ht="15.75" customHeight="1" x14ac:dyDescent="0.25">
      <c r="A25" s="86" t="s">
        <v>70</v>
      </c>
      <c r="B25" s="38" t="s">
        <v>60</v>
      </c>
      <c r="C25" s="48"/>
    </row>
    <row r="26" spans="1:3" ht="15.75" customHeight="1" x14ac:dyDescent="0.25">
      <c r="A26" s="87"/>
      <c r="B26" s="52">
        <f>B17+B22+B21</f>
        <v>145835627.65432</v>
      </c>
    </row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0">
    <mergeCell ref="A25:A26"/>
    <mergeCell ref="G5:I5"/>
    <mergeCell ref="A1:F1"/>
    <mergeCell ref="G4:I4"/>
    <mergeCell ref="B4:F4"/>
    <mergeCell ref="B13:E13"/>
    <mergeCell ref="B12:F12"/>
    <mergeCell ref="A2:B2"/>
    <mergeCell ref="E2:F2"/>
    <mergeCell ref="C2:D2"/>
  </mergeCells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000"/>
  <sheetViews>
    <sheetView workbookViewId="0">
      <selection activeCell="D13" sqref="D13"/>
    </sheetView>
  </sheetViews>
  <sheetFormatPr defaultColWidth="14.42578125" defaultRowHeight="15" customHeight="1" x14ac:dyDescent="0.25"/>
  <cols>
    <col min="1" max="1" width="20.85546875" customWidth="1"/>
    <col min="2" max="2" width="23.85546875" customWidth="1"/>
    <col min="3" max="6" width="14.42578125" customWidth="1"/>
  </cols>
  <sheetData>
    <row r="1" spans="1:5" ht="15.75" x14ac:dyDescent="0.25">
      <c r="A1" s="89" t="s">
        <v>0</v>
      </c>
      <c r="B1" s="90"/>
      <c r="C1" s="3"/>
      <c r="D1" s="3"/>
      <c r="E1" s="3"/>
    </row>
    <row r="2" spans="1:5" ht="15.75" x14ac:dyDescent="0.25">
      <c r="A2" s="5" t="s">
        <v>4</v>
      </c>
      <c r="B2" s="6">
        <v>7550000</v>
      </c>
    </row>
    <row r="3" spans="1:5" ht="15.75" x14ac:dyDescent="0.25">
      <c r="A3" s="5" t="s">
        <v>9</v>
      </c>
      <c r="B3" s="6">
        <v>755000</v>
      </c>
    </row>
    <row r="4" spans="1:5" ht="15.75" x14ac:dyDescent="0.25">
      <c r="A4" s="5" t="s">
        <v>10</v>
      </c>
      <c r="B4" s="6">
        <v>145835627.65000001</v>
      </c>
    </row>
    <row r="5" spans="1:5" ht="15.75" x14ac:dyDescent="0.25">
      <c r="A5" s="7" t="s">
        <v>11</v>
      </c>
      <c r="B5" s="10">
        <f>SUM(B2:B4)</f>
        <v>154140627.65000001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B1"/>
  </mergeCells>
  <pageMargins left="0.511811024" right="0.511811024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1000"/>
  <sheetViews>
    <sheetView workbookViewId="0">
      <selection activeCell="A15" sqref="A15:F15"/>
    </sheetView>
  </sheetViews>
  <sheetFormatPr defaultColWidth="14.42578125" defaultRowHeight="15" customHeight="1" x14ac:dyDescent="0.25"/>
  <cols>
    <col min="1" max="1" width="14.42578125" customWidth="1"/>
    <col min="2" max="2" width="20.85546875" customWidth="1"/>
    <col min="3" max="6" width="14.42578125" customWidth="1"/>
    <col min="7" max="7" width="18.140625" customWidth="1"/>
    <col min="8" max="11" width="14.42578125" customWidth="1"/>
    <col min="12" max="12" width="21.140625" customWidth="1"/>
    <col min="13" max="37" width="14.42578125" customWidth="1"/>
  </cols>
  <sheetData>
    <row r="1" spans="1:37" x14ac:dyDescent="0.25">
      <c r="A1" s="93" t="s">
        <v>57</v>
      </c>
      <c r="B1" s="83"/>
      <c r="C1" s="37">
        <v>1</v>
      </c>
      <c r="D1" s="37">
        <v>1</v>
      </c>
      <c r="E1" s="37">
        <v>1</v>
      </c>
      <c r="F1" s="37">
        <v>1</v>
      </c>
      <c r="G1" s="37">
        <v>1</v>
      </c>
      <c r="H1" s="37">
        <v>1</v>
      </c>
      <c r="I1" s="37">
        <v>1</v>
      </c>
      <c r="J1" s="37">
        <v>1</v>
      </c>
      <c r="K1" s="37">
        <v>1</v>
      </c>
      <c r="L1" s="37">
        <v>1</v>
      </c>
      <c r="M1" s="37">
        <v>1</v>
      </c>
      <c r="N1" s="37">
        <v>1</v>
      </c>
      <c r="O1" s="39">
        <v>2</v>
      </c>
      <c r="P1" s="39">
        <v>2</v>
      </c>
      <c r="Q1" s="39">
        <v>2</v>
      </c>
      <c r="R1" s="39">
        <v>2</v>
      </c>
      <c r="S1" s="39">
        <v>2</v>
      </c>
      <c r="T1" s="39">
        <v>2</v>
      </c>
      <c r="U1" s="39">
        <v>2</v>
      </c>
      <c r="V1" s="39">
        <v>2</v>
      </c>
      <c r="W1" s="39">
        <v>2</v>
      </c>
      <c r="X1" s="39">
        <v>2</v>
      </c>
      <c r="Y1" s="39">
        <v>2</v>
      </c>
      <c r="Z1" s="39">
        <v>2</v>
      </c>
      <c r="AA1" s="41"/>
      <c r="AB1" s="43"/>
      <c r="AC1" s="43"/>
      <c r="AD1" s="43"/>
      <c r="AE1" s="43"/>
      <c r="AF1" s="43"/>
      <c r="AG1" s="43"/>
      <c r="AH1" s="43"/>
      <c r="AI1" s="43"/>
      <c r="AJ1" s="43"/>
      <c r="AK1" s="43"/>
    </row>
    <row r="2" spans="1:37" x14ac:dyDescent="0.25">
      <c r="A2" s="94" t="s">
        <v>62</v>
      </c>
      <c r="B2" s="92"/>
      <c r="C2" s="46">
        <v>1</v>
      </c>
      <c r="D2" s="46">
        <f t="shared" ref="D2:Z2" si="0">C2+1</f>
        <v>2</v>
      </c>
      <c r="E2" s="46">
        <f t="shared" si="0"/>
        <v>3</v>
      </c>
      <c r="F2" s="46">
        <f t="shared" si="0"/>
        <v>4</v>
      </c>
      <c r="G2" s="46">
        <f t="shared" si="0"/>
        <v>5</v>
      </c>
      <c r="H2" s="46">
        <f t="shared" si="0"/>
        <v>6</v>
      </c>
      <c r="I2" s="46">
        <f t="shared" si="0"/>
        <v>7</v>
      </c>
      <c r="J2" s="46">
        <f t="shared" si="0"/>
        <v>8</v>
      </c>
      <c r="K2" s="46">
        <f t="shared" si="0"/>
        <v>9</v>
      </c>
      <c r="L2" s="46">
        <f t="shared" si="0"/>
        <v>10</v>
      </c>
      <c r="M2" s="46">
        <f t="shared" si="0"/>
        <v>11</v>
      </c>
      <c r="N2" s="46">
        <f t="shared" si="0"/>
        <v>12</v>
      </c>
      <c r="O2" s="46">
        <f t="shared" si="0"/>
        <v>13</v>
      </c>
      <c r="P2" s="46">
        <f t="shared" si="0"/>
        <v>14</v>
      </c>
      <c r="Q2" s="46">
        <f t="shared" si="0"/>
        <v>15</v>
      </c>
      <c r="R2" s="46">
        <f t="shared" si="0"/>
        <v>16</v>
      </c>
      <c r="S2" s="46">
        <f t="shared" si="0"/>
        <v>17</v>
      </c>
      <c r="T2" s="46">
        <f t="shared" si="0"/>
        <v>18</v>
      </c>
      <c r="U2" s="46">
        <f t="shared" si="0"/>
        <v>19</v>
      </c>
      <c r="V2" s="46">
        <f t="shared" si="0"/>
        <v>20</v>
      </c>
      <c r="W2" s="46">
        <f t="shared" si="0"/>
        <v>21</v>
      </c>
      <c r="X2" s="46">
        <f t="shared" si="0"/>
        <v>22</v>
      </c>
      <c r="Y2" s="46">
        <f t="shared" si="0"/>
        <v>23</v>
      </c>
      <c r="Z2" s="46">
        <f t="shared" si="0"/>
        <v>24</v>
      </c>
      <c r="AA2" s="46" t="s">
        <v>65</v>
      </c>
      <c r="AB2" s="43"/>
      <c r="AC2" s="43"/>
      <c r="AD2" s="43"/>
      <c r="AE2" s="43"/>
      <c r="AF2" s="43"/>
      <c r="AG2" s="43"/>
      <c r="AH2" s="43"/>
      <c r="AI2" s="43"/>
      <c r="AJ2" s="43"/>
      <c r="AK2" s="43"/>
    </row>
    <row r="3" spans="1:37" ht="18.75" customHeight="1" x14ac:dyDescent="0.25">
      <c r="A3" s="91" t="s">
        <v>67</v>
      </c>
      <c r="B3" s="92"/>
      <c r="C3" s="51">
        <f>SUM(Equipamentos!B21,Equipamentos!D21)*F17</f>
        <v>13763750</v>
      </c>
      <c r="D3" s="51">
        <v>0</v>
      </c>
      <c r="E3" s="51">
        <v>0</v>
      </c>
      <c r="F3" s="51">
        <v>0</v>
      </c>
      <c r="G3" s="51">
        <f>Equipamentos!C21*F17/3</f>
        <v>455000</v>
      </c>
      <c r="H3" s="51">
        <v>0</v>
      </c>
      <c r="I3" s="51">
        <v>0</v>
      </c>
      <c r="J3" s="51">
        <v>0</v>
      </c>
      <c r="K3" s="51">
        <v>0</v>
      </c>
      <c r="L3" s="51">
        <f>Equipamentos!C21*F17/3</f>
        <v>455000</v>
      </c>
      <c r="M3" s="51">
        <v>0</v>
      </c>
      <c r="N3" s="51">
        <v>0</v>
      </c>
      <c r="O3" s="51">
        <v>0</v>
      </c>
      <c r="P3" s="51">
        <v>0</v>
      </c>
      <c r="Q3" s="51">
        <f>Equipamentos!C21*F17/2</f>
        <v>682500</v>
      </c>
      <c r="R3" s="51">
        <v>0</v>
      </c>
      <c r="S3" s="51">
        <v>0</v>
      </c>
      <c r="T3" s="51">
        <v>0</v>
      </c>
      <c r="U3" s="51">
        <v>0</v>
      </c>
      <c r="V3" s="51">
        <f>Equipamentos!C21*F17/2</f>
        <v>682500</v>
      </c>
      <c r="W3" s="51">
        <v>0</v>
      </c>
      <c r="X3" s="51">
        <v>0</v>
      </c>
      <c r="Y3" s="51">
        <v>0</v>
      </c>
      <c r="Z3" s="51">
        <v>0</v>
      </c>
      <c r="AA3" s="95">
        <f>SUM(C3:Z5)</f>
        <v>26167250.000000007</v>
      </c>
      <c r="AB3" s="43"/>
      <c r="AC3" s="43"/>
      <c r="AD3" s="43"/>
      <c r="AE3" s="43"/>
      <c r="AF3" s="43"/>
      <c r="AG3" s="43"/>
      <c r="AH3" s="43"/>
      <c r="AI3" s="43"/>
      <c r="AJ3" s="43"/>
      <c r="AK3" s="43"/>
    </row>
    <row r="4" spans="1:37" ht="29.25" customHeight="1" x14ac:dyDescent="0.25">
      <c r="A4" s="91" t="s">
        <v>71</v>
      </c>
      <c r="B4" s="92"/>
      <c r="C4" s="51">
        <f>SUM(Equipamentos!B27,Equipamentos!D27)*F17</f>
        <v>1078916.6666666667</v>
      </c>
      <c r="D4" s="53">
        <v>0</v>
      </c>
      <c r="E4" s="53">
        <v>0</v>
      </c>
      <c r="F4" s="53">
        <v>0</v>
      </c>
      <c r="G4" s="51">
        <f>Equipamentos!C27*F17/3</f>
        <v>35666.666666666664</v>
      </c>
      <c r="H4" s="51">
        <v>0</v>
      </c>
      <c r="I4" s="51">
        <v>0</v>
      </c>
      <c r="J4" s="51">
        <v>0</v>
      </c>
      <c r="K4" s="51">
        <v>0</v>
      </c>
      <c r="L4" s="51">
        <f>Equipamentos!C27*F17/3</f>
        <v>35666.666666666664</v>
      </c>
      <c r="M4" s="51">
        <v>0</v>
      </c>
      <c r="N4" s="51">
        <v>0</v>
      </c>
      <c r="O4" s="51">
        <v>0</v>
      </c>
      <c r="P4" s="51">
        <v>0</v>
      </c>
      <c r="Q4" s="51">
        <f>Equipamentos!C27*F17/2</f>
        <v>53500</v>
      </c>
      <c r="R4" s="51">
        <v>0</v>
      </c>
      <c r="S4" s="51">
        <v>0</v>
      </c>
      <c r="T4" s="51">
        <v>0</v>
      </c>
      <c r="U4" s="51">
        <v>0</v>
      </c>
      <c r="V4" s="51">
        <f>Equipamentos!C27*F17/2</f>
        <v>53500</v>
      </c>
      <c r="W4" s="51">
        <v>0</v>
      </c>
      <c r="X4" s="51">
        <v>0</v>
      </c>
      <c r="Y4" s="51">
        <v>0</v>
      </c>
      <c r="Z4" s="51">
        <v>0</v>
      </c>
      <c r="AA4" s="96"/>
      <c r="AB4" s="43"/>
      <c r="AC4" s="43"/>
      <c r="AD4" s="43"/>
      <c r="AE4" s="43"/>
      <c r="AF4" s="43"/>
      <c r="AG4" s="43"/>
      <c r="AH4" s="43"/>
      <c r="AI4" s="43"/>
      <c r="AJ4" s="43"/>
      <c r="AK4" s="43"/>
    </row>
    <row r="5" spans="1:37" x14ac:dyDescent="0.25">
      <c r="A5" s="91" t="s">
        <v>72</v>
      </c>
      <c r="B5" s="92"/>
      <c r="C5" s="51">
        <f>SUM(Equipamentos!B35,Equipamentos!D35)*F17</f>
        <v>7612916.666666667</v>
      </c>
      <c r="D5" s="51">
        <v>0</v>
      </c>
      <c r="E5" s="51">
        <v>0</v>
      </c>
      <c r="F5" s="51">
        <v>0</v>
      </c>
      <c r="G5" s="51">
        <f>Equipamentos!C35*F17/3</f>
        <v>251666.66666666666</v>
      </c>
      <c r="H5" s="51">
        <v>0</v>
      </c>
      <c r="I5" s="51">
        <v>0</v>
      </c>
      <c r="J5" s="51">
        <v>0</v>
      </c>
      <c r="K5" s="51">
        <v>0</v>
      </c>
      <c r="L5" s="51">
        <f>Equipamentos!C35*F17/3</f>
        <v>251666.66666666666</v>
      </c>
      <c r="M5" s="51">
        <v>0</v>
      </c>
      <c r="N5" s="51">
        <v>0</v>
      </c>
      <c r="O5" s="51">
        <v>0</v>
      </c>
      <c r="P5" s="51">
        <v>0</v>
      </c>
      <c r="Q5" s="51">
        <f>Equipamentos!C35*F17/2</f>
        <v>377500</v>
      </c>
      <c r="R5" s="51">
        <v>0</v>
      </c>
      <c r="S5" s="51">
        <v>0</v>
      </c>
      <c r="T5" s="51">
        <v>0</v>
      </c>
      <c r="U5" s="51">
        <v>0</v>
      </c>
      <c r="V5" s="51">
        <f>Equipamentos!C35*F17/2</f>
        <v>377500</v>
      </c>
      <c r="W5" s="51">
        <v>0</v>
      </c>
      <c r="X5" s="51">
        <v>0</v>
      </c>
      <c r="Y5" s="51">
        <v>0</v>
      </c>
      <c r="Z5" s="51">
        <v>0</v>
      </c>
      <c r="AA5" s="92"/>
      <c r="AB5" s="43"/>
      <c r="AC5" s="43"/>
      <c r="AD5" s="43"/>
      <c r="AE5" s="43"/>
      <c r="AF5" s="43"/>
      <c r="AG5" s="43"/>
      <c r="AH5" s="43"/>
      <c r="AI5" s="43"/>
      <c r="AJ5" s="43"/>
      <c r="AK5" s="43"/>
    </row>
    <row r="6" spans="1:37" x14ac:dyDescent="0.25">
      <c r="A6" s="97" t="s">
        <v>73</v>
      </c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1"/>
      <c r="S6" s="51"/>
      <c r="T6" s="51"/>
      <c r="U6" s="51"/>
      <c r="V6" s="51"/>
      <c r="W6" s="51"/>
      <c r="X6" s="51"/>
      <c r="Y6" s="51"/>
      <c r="Z6" s="51"/>
      <c r="AA6" s="51"/>
      <c r="AB6" s="43"/>
      <c r="AC6" s="43"/>
      <c r="AD6" s="43"/>
      <c r="AE6" s="43"/>
      <c r="AF6" s="43"/>
      <c r="AG6" s="43"/>
      <c r="AH6" s="43"/>
      <c r="AI6" s="43"/>
      <c r="AJ6" s="43"/>
      <c r="AK6" s="43"/>
    </row>
    <row r="7" spans="1:37" ht="23.25" x14ac:dyDescent="0.25">
      <c r="A7" s="98"/>
      <c r="B7" s="54" t="s">
        <v>74</v>
      </c>
      <c r="C7" s="56">
        <f>C10</f>
        <v>0</v>
      </c>
      <c r="D7" s="56">
        <v>200</v>
      </c>
      <c r="E7" s="56">
        <v>300</v>
      </c>
      <c r="F7" s="56">
        <v>400</v>
      </c>
      <c r="G7" s="56">
        <v>500</v>
      </c>
      <c r="H7" s="56">
        <v>600</v>
      </c>
      <c r="I7" s="56">
        <v>700</v>
      </c>
      <c r="J7" s="56">
        <v>800</v>
      </c>
      <c r="K7" s="56">
        <v>900</v>
      </c>
      <c r="L7" s="56">
        <v>1000</v>
      </c>
      <c r="M7" s="56">
        <v>1100</v>
      </c>
      <c r="N7" s="56">
        <v>1200</v>
      </c>
      <c r="O7" s="56">
        <v>1300</v>
      </c>
      <c r="P7" s="56">
        <v>1400</v>
      </c>
      <c r="Q7" s="56">
        <v>1500</v>
      </c>
      <c r="R7" s="56">
        <v>1600</v>
      </c>
      <c r="S7" s="56">
        <v>1700</v>
      </c>
      <c r="T7" s="56">
        <v>1800</v>
      </c>
      <c r="U7" s="56">
        <v>1900</v>
      </c>
      <c r="V7" s="56">
        <v>2000</v>
      </c>
      <c r="W7" s="56">
        <v>2100</v>
      </c>
      <c r="X7" s="56">
        <v>2200</v>
      </c>
      <c r="Y7" s="56">
        <v>2300</v>
      </c>
      <c r="Z7" s="56">
        <v>2400</v>
      </c>
      <c r="AA7" s="57">
        <f t="shared" ref="AA7:AA10" si="1">SUM(C7:Z7)</f>
        <v>29900</v>
      </c>
      <c r="AB7" s="43"/>
      <c r="AC7" s="43"/>
      <c r="AD7" s="43"/>
      <c r="AE7" s="43"/>
      <c r="AF7" s="43"/>
      <c r="AG7" s="43"/>
      <c r="AH7" s="43"/>
      <c r="AI7" s="43"/>
      <c r="AJ7" s="43"/>
      <c r="AK7" s="43"/>
    </row>
    <row r="8" spans="1:37" x14ac:dyDescent="0.25">
      <c r="A8" s="87"/>
      <c r="B8" s="58" t="s">
        <v>75</v>
      </c>
      <c r="C8" s="51">
        <v>10000</v>
      </c>
      <c r="D8" s="51">
        <v>20000</v>
      </c>
      <c r="E8" s="51">
        <v>30000</v>
      </c>
      <c r="F8" s="51">
        <v>40000</v>
      </c>
      <c r="G8" s="51">
        <v>50000</v>
      </c>
      <c r="H8" s="51">
        <v>60000</v>
      </c>
      <c r="I8" s="51">
        <v>70000</v>
      </c>
      <c r="J8" s="51">
        <v>80000</v>
      </c>
      <c r="K8" s="51">
        <v>70000</v>
      </c>
      <c r="L8" s="51">
        <v>70000</v>
      </c>
      <c r="M8" s="51">
        <v>60000</v>
      </c>
      <c r="N8" s="51">
        <v>60000</v>
      </c>
      <c r="O8" s="51">
        <v>60000</v>
      </c>
      <c r="P8" s="51">
        <v>50000</v>
      </c>
      <c r="Q8" s="51">
        <v>50000</v>
      </c>
      <c r="R8" s="51">
        <v>50000</v>
      </c>
      <c r="S8" s="51">
        <v>50000</v>
      </c>
      <c r="T8" s="51">
        <v>50000</v>
      </c>
      <c r="U8" s="51">
        <v>50000</v>
      </c>
      <c r="V8" s="51">
        <v>50000</v>
      </c>
      <c r="W8" s="51">
        <v>50000</v>
      </c>
      <c r="X8" s="51">
        <v>40000</v>
      </c>
      <c r="Y8" s="51">
        <v>40000</v>
      </c>
      <c r="Z8" s="51">
        <v>40000</v>
      </c>
      <c r="AA8" s="51">
        <f t="shared" si="1"/>
        <v>1200000</v>
      </c>
      <c r="AB8" s="43"/>
      <c r="AC8" s="43"/>
      <c r="AD8" s="43"/>
      <c r="AE8" s="43"/>
      <c r="AF8" s="43"/>
      <c r="AG8" s="43"/>
      <c r="AH8" s="43"/>
      <c r="AI8" s="43"/>
      <c r="AJ8" s="43"/>
      <c r="AK8" s="43"/>
    </row>
    <row r="9" spans="1:37" x14ac:dyDescent="0.25">
      <c r="A9" s="105" t="s">
        <v>76</v>
      </c>
      <c r="B9" s="100"/>
      <c r="C9" s="59">
        <f t="shared" ref="C9:Z9" si="2">C3+C4+C5+C8</f>
        <v>22465583.333333332</v>
      </c>
      <c r="D9" s="59">
        <f t="shared" si="2"/>
        <v>20000</v>
      </c>
      <c r="E9" s="59">
        <f t="shared" si="2"/>
        <v>30000</v>
      </c>
      <c r="F9" s="59">
        <f t="shared" si="2"/>
        <v>40000</v>
      </c>
      <c r="G9" s="59">
        <f t="shared" si="2"/>
        <v>792333.33333333337</v>
      </c>
      <c r="H9" s="59">
        <f t="shared" si="2"/>
        <v>60000</v>
      </c>
      <c r="I9" s="59">
        <f t="shared" si="2"/>
        <v>70000</v>
      </c>
      <c r="J9" s="59">
        <f t="shared" si="2"/>
        <v>80000</v>
      </c>
      <c r="K9" s="59">
        <f t="shared" si="2"/>
        <v>70000</v>
      </c>
      <c r="L9" s="59">
        <f t="shared" si="2"/>
        <v>812333.33333333337</v>
      </c>
      <c r="M9" s="59">
        <f t="shared" si="2"/>
        <v>60000</v>
      </c>
      <c r="N9" s="59">
        <f t="shared" si="2"/>
        <v>60000</v>
      </c>
      <c r="O9" s="59">
        <f t="shared" si="2"/>
        <v>60000</v>
      </c>
      <c r="P9" s="59">
        <f t="shared" si="2"/>
        <v>50000</v>
      </c>
      <c r="Q9" s="59">
        <f t="shared" si="2"/>
        <v>1163500</v>
      </c>
      <c r="R9" s="59">
        <f t="shared" si="2"/>
        <v>50000</v>
      </c>
      <c r="S9" s="59">
        <f t="shared" si="2"/>
        <v>50000</v>
      </c>
      <c r="T9" s="59">
        <f t="shared" si="2"/>
        <v>50000</v>
      </c>
      <c r="U9" s="59">
        <f t="shared" si="2"/>
        <v>50000</v>
      </c>
      <c r="V9" s="59">
        <f t="shared" si="2"/>
        <v>1163500</v>
      </c>
      <c r="W9" s="59">
        <f t="shared" si="2"/>
        <v>50000</v>
      </c>
      <c r="X9" s="59">
        <f t="shared" si="2"/>
        <v>40000</v>
      </c>
      <c r="Y9" s="59">
        <f t="shared" si="2"/>
        <v>40000</v>
      </c>
      <c r="Z9" s="59">
        <f t="shared" si="2"/>
        <v>40000</v>
      </c>
      <c r="AA9" s="59">
        <f t="shared" si="1"/>
        <v>27367249.999999996</v>
      </c>
      <c r="AB9" s="43"/>
      <c r="AC9" s="43"/>
      <c r="AD9" s="43"/>
      <c r="AE9" s="43"/>
      <c r="AF9" s="43"/>
      <c r="AG9" s="43"/>
      <c r="AH9" s="43"/>
      <c r="AI9" s="43"/>
      <c r="AJ9" s="43"/>
      <c r="AK9" s="43"/>
    </row>
    <row r="10" spans="1:37" x14ac:dyDescent="0.25">
      <c r="A10" s="97" t="s">
        <v>77</v>
      </c>
      <c r="B10" s="60" t="s">
        <v>78</v>
      </c>
      <c r="C10" s="61">
        <v>0</v>
      </c>
      <c r="D10" s="61">
        <v>20</v>
      </c>
      <c r="E10" s="61">
        <v>30</v>
      </c>
      <c r="F10" s="61">
        <v>50</v>
      </c>
      <c r="G10" s="61">
        <v>80</v>
      </c>
      <c r="H10" s="61">
        <v>90</v>
      </c>
      <c r="I10" s="61">
        <v>95</v>
      </c>
      <c r="J10" s="61">
        <v>110</v>
      </c>
      <c r="K10" s="61">
        <v>120</v>
      </c>
      <c r="L10" s="61">
        <v>130</v>
      </c>
      <c r="M10" s="61">
        <v>140</v>
      </c>
      <c r="N10" s="61">
        <v>160</v>
      </c>
      <c r="O10" s="61">
        <v>190</v>
      </c>
      <c r="P10" s="61">
        <v>200</v>
      </c>
      <c r="Q10" s="61">
        <v>220</v>
      </c>
      <c r="R10" s="61">
        <v>240</v>
      </c>
      <c r="S10" s="61">
        <v>260</v>
      </c>
      <c r="T10" s="61">
        <v>280</v>
      </c>
      <c r="U10" s="61">
        <v>300</v>
      </c>
      <c r="V10" s="61">
        <v>350</v>
      </c>
      <c r="W10" s="61">
        <v>400</v>
      </c>
      <c r="X10" s="61">
        <v>450</v>
      </c>
      <c r="Y10" s="61">
        <v>500</v>
      </c>
      <c r="Z10" s="61">
        <v>600</v>
      </c>
      <c r="AA10" s="61">
        <f t="shared" si="1"/>
        <v>5015</v>
      </c>
      <c r="AB10" s="43"/>
      <c r="AC10" s="43"/>
      <c r="AD10" s="43"/>
      <c r="AE10" s="43"/>
      <c r="AF10" s="43"/>
      <c r="AG10" s="43"/>
      <c r="AH10" s="43"/>
      <c r="AI10" s="43"/>
      <c r="AJ10" s="43"/>
      <c r="AK10" s="43"/>
    </row>
    <row r="11" spans="1:37" x14ac:dyDescent="0.25">
      <c r="A11" s="98"/>
      <c r="B11" s="60" t="s">
        <v>79</v>
      </c>
      <c r="C11" s="51">
        <v>250</v>
      </c>
      <c r="D11" s="51">
        <v>250</v>
      </c>
      <c r="E11" s="51">
        <v>250</v>
      </c>
      <c r="F11" s="51">
        <v>250</v>
      </c>
      <c r="G11" s="51">
        <v>250</v>
      </c>
      <c r="H11" s="51">
        <v>250</v>
      </c>
      <c r="I11" s="51">
        <v>250</v>
      </c>
      <c r="J11" s="51">
        <v>250</v>
      </c>
      <c r="K11" s="51">
        <v>250</v>
      </c>
      <c r="L11" s="51">
        <v>250</v>
      </c>
      <c r="M11" s="51">
        <v>250</v>
      </c>
      <c r="N11" s="51">
        <v>250</v>
      </c>
      <c r="O11" s="51">
        <v>250</v>
      </c>
      <c r="P11" s="51">
        <v>250</v>
      </c>
      <c r="Q11" s="51">
        <v>250</v>
      </c>
      <c r="R11" s="51">
        <v>250</v>
      </c>
      <c r="S11" s="51">
        <v>250</v>
      </c>
      <c r="T11" s="51">
        <v>250</v>
      </c>
      <c r="U11" s="51">
        <v>250</v>
      </c>
      <c r="V11" s="51">
        <v>250</v>
      </c>
      <c r="W11" s="51">
        <v>250</v>
      </c>
      <c r="X11" s="51">
        <v>250</v>
      </c>
      <c r="Y11" s="51">
        <v>250</v>
      </c>
      <c r="Z11" s="51">
        <v>250</v>
      </c>
      <c r="AA11" s="51"/>
      <c r="AB11" s="43"/>
      <c r="AC11" s="43"/>
      <c r="AD11" s="43"/>
      <c r="AE11" s="43"/>
      <c r="AF11" s="43"/>
      <c r="AG11" s="43"/>
      <c r="AH11" s="43"/>
      <c r="AI11" s="43"/>
      <c r="AJ11" s="43"/>
      <c r="AK11" s="43"/>
    </row>
    <row r="12" spans="1:37" ht="21.75" customHeight="1" x14ac:dyDescent="0.25">
      <c r="A12" s="87"/>
      <c r="B12" s="62" t="s">
        <v>80</v>
      </c>
      <c r="C12" s="59">
        <f>C10*C11</f>
        <v>0</v>
      </c>
      <c r="D12" s="59">
        <v>100000</v>
      </c>
      <c r="E12" s="59">
        <v>200000</v>
      </c>
      <c r="F12" s="59">
        <v>300000</v>
      </c>
      <c r="G12" s="59">
        <v>400000</v>
      </c>
      <c r="H12" s="59">
        <v>500000</v>
      </c>
      <c r="I12" s="59">
        <v>600000</v>
      </c>
      <c r="J12" s="59">
        <v>700000</v>
      </c>
      <c r="K12" s="59">
        <v>800000</v>
      </c>
      <c r="L12" s="59">
        <v>900000</v>
      </c>
      <c r="M12" s="59">
        <v>1000000</v>
      </c>
      <c r="N12" s="59">
        <v>1100000</v>
      </c>
      <c r="O12" s="59">
        <v>1200000</v>
      </c>
      <c r="P12" s="59">
        <v>1300000</v>
      </c>
      <c r="Q12" s="59">
        <v>1400000</v>
      </c>
      <c r="R12" s="59">
        <v>1500000</v>
      </c>
      <c r="S12" s="59">
        <v>1600000</v>
      </c>
      <c r="T12" s="59">
        <v>1700000</v>
      </c>
      <c r="U12" s="59">
        <v>1800000</v>
      </c>
      <c r="V12" s="59">
        <v>1900000</v>
      </c>
      <c r="W12" s="59">
        <v>2000000</v>
      </c>
      <c r="X12" s="59">
        <v>2100000</v>
      </c>
      <c r="Y12" s="59">
        <v>2200000</v>
      </c>
      <c r="Z12" s="59">
        <v>2300000</v>
      </c>
      <c r="AA12" s="59">
        <f t="shared" ref="AA12:AA13" si="3">SUM(C12:Z12)</f>
        <v>27600000</v>
      </c>
      <c r="AB12" s="43"/>
      <c r="AC12" s="43"/>
      <c r="AD12" s="43"/>
      <c r="AE12" s="43"/>
      <c r="AF12" s="43"/>
      <c r="AG12" s="43"/>
      <c r="AH12" s="43"/>
      <c r="AI12" s="43"/>
      <c r="AJ12" s="43"/>
      <c r="AK12" s="43"/>
    </row>
    <row r="13" spans="1:37" x14ac:dyDescent="0.25">
      <c r="A13" s="99" t="s">
        <v>81</v>
      </c>
      <c r="B13" s="100"/>
      <c r="C13" s="59">
        <f t="shared" ref="C13:Z13" si="4">C12-C9</f>
        <v>-22465583.333333332</v>
      </c>
      <c r="D13" s="59">
        <f t="shared" si="4"/>
        <v>80000</v>
      </c>
      <c r="E13" s="59">
        <f t="shared" si="4"/>
        <v>170000</v>
      </c>
      <c r="F13" s="59">
        <f t="shared" si="4"/>
        <v>260000</v>
      </c>
      <c r="G13" s="59">
        <f t="shared" si="4"/>
        <v>-392333.33333333337</v>
      </c>
      <c r="H13" s="59">
        <f t="shared" si="4"/>
        <v>440000</v>
      </c>
      <c r="I13" s="59">
        <f t="shared" si="4"/>
        <v>530000</v>
      </c>
      <c r="J13" s="59">
        <f t="shared" si="4"/>
        <v>620000</v>
      </c>
      <c r="K13" s="59">
        <f t="shared" si="4"/>
        <v>730000</v>
      </c>
      <c r="L13" s="59">
        <f t="shared" si="4"/>
        <v>87666.666666666628</v>
      </c>
      <c r="M13" s="59">
        <f t="shared" si="4"/>
        <v>940000</v>
      </c>
      <c r="N13" s="59">
        <f t="shared" si="4"/>
        <v>1040000</v>
      </c>
      <c r="O13" s="59">
        <f t="shared" si="4"/>
        <v>1140000</v>
      </c>
      <c r="P13" s="59">
        <f t="shared" si="4"/>
        <v>1250000</v>
      </c>
      <c r="Q13" s="59">
        <f t="shared" si="4"/>
        <v>236500</v>
      </c>
      <c r="R13" s="59">
        <f t="shared" si="4"/>
        <v>1450000</v>
      </c>
      <c r="S13" s="59">
        <f t="shared" si="4"/>
        <v>1550000</v>
      </c>
      <c r="T13" s="59">
        <f t="shared" si="4"/>
        <v>1650000</v>
      </c>
      <c r="U13" s="59">
        <f t="shared" si="4"/>
        <v>1750000</v>
      </c>
      <c r="V13" s="59">
        <f t="shared" si="4"/>
        <v>736500</v>
      </c>
      <c r="W13" s="59">
        <f t="shared" si="4"/>
        <v>1950000</v>
      </c>
      <c r="X13" s="59">
        <f t="shared" si="4"/>
        <v>2060000</v>
      </c>
      <c r="Y13" s="59">
        <f t="shared" si="4"/>
        <v>2160000</v>
      </c>
      <c r="Z13" s="59">
        <f t="shared" si="4"/>
        <v>2260000</v>
      </c>
      <c r="AA13" s="59">
        <f t="shared" si="3"/>
        <v>232750.00000000373</v>
      </c>
      <c r="AB13" s="43"/>
      <c r="AC13" s="43"/>
      <c r="AD13" s="43"/>
      <c r="AE13" s="43"/>
      <c r="AF13" s="43"/>
      <c r="AG13" s="43"/>
      <c r="AH13" s="43"/>
      <c r="AI13" s="43"/>
      <c r="AJ13" s="43"/>
      <c r="AK13" s="43"/>
    </row>
    <row r="14" spans="1:37" x14ac:dyDescent="0.25">
      <c r="A14" s="103" t="s">
        <v>82</v>
      </c>
      <c r="B14" s="104"/>
      <c r="C14" s="104"/>
      <c r="D14" s="104"/>
      <c r="E14" s="104"/>
      <c r="F14" s="100"/>
      <c r="G14" s="63">
        <f t="array" ref="G14">NPV(G15,G13,Z13)-SUM(C13:F13)</f>
        <v>23720864.262459427</v>
      </c>
      <c r="H14" s="106" t="s">
        <v>83</v>
      </c>
      <c r="I14" s="90"/>
      <c r="J14" s="64">
        <f>((AA12-AA3)/AA3)*100</f>
        <v>5.4753556449378218</v>
      </c>
      <c r="K14" s="101" t="s">
        <v>84</v>
      </c>
      <c r="L14" s="90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</row>
    <row r="15" spans="1:37" x14ac:dyDescent="0.25">
      <c r="A15" s="94" t="s">
        <v>85</v>
      </c>
      <c r="B15" s="102"/>
      <c r="C15" s="102"/>
      <c r="D15" s="102"/>
      <c r="E15" s="102"/>
      <c r="F15" s="92"/>
      <c r="G15" s="65">
        <v>2.58E-2</v>
      </c>
      <c r="H15" s="106" t="s">
        <v>86</v>
      </c>
      <c r="I15" s="90"/>
      <c r="J15" s="64">
        <f>(AA3/AA12)*24</f>
        <v>22.754130434782617</v>
      </c>
      <c r="K15" s="101" t="s">
        <v>87</v>
      </c>
      <c r="L15" s="90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</row>
    <row r="16" spans="1:37" x14ac:dyDescent="0.25">
      <c r="A16" s="43"/>
      <c r="B16" s="66"/>
      <c r="C16" s="66"/>
      <c r="D16" s="66"/>
      <c r="E16" s="66"/>
      <c r="F16" s="66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</row>
    <row r="17" spans="1:37" x14ac:dyDescent="0.25">
      <c r="A17" s="67"/>
      <c r="B17" s="107" t="s">
        <v>88</v>
      </c>
      <c r="C17" s="102"/>
      <c r="D17" s="102"/>
      <c r="E17" s="92"/>
      <c r="F17" s="68">
        <v>1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</row>
    <row r="18" spans="1:37" x14ac:dyDescent="0.2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</row>
    <row r="19" spans="1:37" x14ac:dyDescent="0.2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</row>
    <row r="20" spans="1:37" x14ac:dyDescent="0.2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</row>
    <row r="21" spans="1:37" ht="15.75" customHeight="1" x14ac:dyDescent="0.2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</row>
    <row r="22" spans="1:37" ht="15.75" customHeight="1" x14ac:dyDescent="0.25"/>
    <row r="23" spans="1:37" ht="15.75" customHeight="1" x14ac:dyDescent="0.25"/>
    <row r="24" spans="1:37" ht="15.75" customHeight="1" x14ac:dyDescent="0.25"/>
    <row r="25" spans="1:37" ht="15.75" customHeight="1" x14ac:dyDescent="0.25"/>
    <row r="26" spans="1:37" ht="15.75" customHeight="1" x14ac:dyDescent="0.25"/>
    <row r="27" spans="1:37" ht="15.75" customHeight="1" x14ac:dyDescent="0.25"/>
    <row r="28" spans="1:37" ht="15.75" customHeight="1" x14ac:dyDescent="0.25"/>
    <row r="29" spans="1:37" ht="15.75" customHeight="1" x14ac:dyDescent="0.25"/>
    <row r="30" spans="1:37" ht="15.75" customHeight="1" x14ac:dyDescent="0.25"/>
    <row r="31" spans="1:37" ht="15.75" customHeight="1" x14ac:dyDescent="0.25"/>
    <row r="32" spans="1:3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7">
    <mergeCell ref="B17:E17"/>
    <mergeCell ref="A13:B13"/>
    <mergeCell ref="K15:L15"/>
    <mergeCell ref="K14:L14"/>
    <mergeCell ref="A15:F15"/>
    <mergeCell ref="A14:F14"/>
    <mergeCell ref="H15:I15"/>
    <mergeCell ref="H14:I14"/>
    <mergeCell ref="A3:B3"/>
    <mergeCell ref="A1:B1"/>
    <mergeCell ref="A2:B2"/>
    <mergeCell ref="AA3:AA5"/>
    <mergeCell ref="A10:A12"/>
    <mergeCell ref="A9:B9"/>
    <mergeCell ref="A5:B5"/>
    <mergeCell ref="A6:A8"/>
    <mergeCell ref="A4:B4"/>
  </mergeCells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Equipamentos</vt:lpstr>
      <vt:lpstr>Produção</vt:lpstr>
      <vt:lpstr>Investimento </vt:lpstr>
      <vt:lpstr>Viabilidade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315-6-2</cp:lastModifiedBy>
  <dcterms:modified xsi:type="dcterms:W3CDTF">2018-05-23T20:43:30Z</dcterms:modified>
</cp:coreProperties>
</file>